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9872" windowHeight="7272" activeTab="1"/>
  </bookViews>
  <sheets>
    <sheet name="CE CCL Kollo" sheetId="1" r:id="rId1"/>
    <sheet name="CE CCL Hamdallaye" sheetId="2" r:id="rId2"/>
    <sheet name="Amor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<sst xmlns="http://schemas.openxmlformats.org/spreadsheetml/2006/main" count="67" uniqueCount="44">
  <si>
    <t>Kollo (en FCFA)</t>
  </si>
  <si>
    <t>Hamdallaye (en FCFA)</t>
  </si>
  <si>
    <t>1. CCL</t>
  </si>
  <si>
    <t>(600 l/j)</t>
  </si>
  <si>
    <t>(800 l/j)</t>
  </si>
  <si>
    <t>(900 l/j)</t>
  </si>
  <si>
    <t>(1.000 l/j)</t>
  </si>
  <si>
    <t>(466 l/j)</t>
  </si>
  <si>
    <t>V lait collecté</t>
  </si>
  <si>
    <t>V lait cru</t>
  </si>
  <si>
    <t>V lait pasteurisé</t>
  </si>
  <si>
    <t>Emplois</t>
  </si>
  <si>
    <t>Lait cru</t>
  </si>
  <si>
    <t>Lait pasteurisé</t>
  </si>
  <si>
    <t>Sous total</t>
  </si>
  <si>
    <t>Ressources</t>
  </si>
  <si>
    <t>Achats lait</t>
  </si>
  <si>
    <t>Electricité</t>
  </si>
  <si>
    <t>Eau</t>
  </si>
  <si>
    <t>Déter</t>
  </si>
  <si>
    <t>Carburant</t>
  </si>
  <si>
    <t>Entretien</t>
  </si>
  <si>
    <t>Sachet</t>
  </si>
  <si>
    <t>Gaz</t>
  </si>
  <si>
    <t>Conso. Intermed.</t>
  </si>
  <si>
    <t>Gazoil</t>
  </si>
  <si>
    <t>Salaires</t>
  </si>
  <si>
    <t>Téléphone</t>
  </si>
  <si>
    <t>EBE</t>
  </si>
  <si>
    <t>Amortissement</t>
  </si>
  <si>
    <t>Résultat (FCFA)</t>
  </si>
  <si>
    <t>Chiffre d'affaire</t>
  </si>
  <si>
    <t>Redevance</t>
  </si>
  <si>
    <t>(1.223 L/j + transfo)</t>
  </si>
  <si>
    <t>Kollo</t>
  </si>
  <si>
    <t>Batiment</t>
  </si>
  <si>
    <t>Magasin</t>
  </si>
  <si>
    <t>Equipement</t>
  </si>
  <si>
    <t>Hamdallaye</t>
  </si>
  <si>
    <t xml:space="preserve"> (600 l/J) + transfo (400l)</t>
  </si>
  <si>
    <t>(1.000 L/j) + transfo (400l)</t>
  </si>
  <si>
    <t>(1.000 L/j) + transfo (400l) + négo prix à 275 F</t>
  </si>
  <si>
    <t>(1.000 L/j) + transfo réduite (150l) + négo prix à 275 F</t>
  </si>
  <si>
    <t>Amortissement 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</si>
</sst>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7" xfId="0" applyFont="1" applyBorder="1" applyAlignment="1">
      <alignment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39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0" fontId="39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39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0" fontId="39" fillId="0" borderId="0" xfId="0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32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/>
    </xf>
    <xf numFmtId="0" fontId="41" fillId="0" borderId="19" xfId="0" applyFont="1" applyBorder="1" applyAlignment="1">
      <alignment/>
    </xf>
    <xf numFmtId="3" fontId="41" fillId="0" borderId="20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0" fontId="41" fillId="0" borderId="23" xfId="0" applyFont="1" applyBorder="1" applyAlignment="1">
      <alignment/>
    </xf>
    <xf numFmtId="3" fontId="41" fillId="0" borderId="24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34" xfId="0" applyFont="1" applyBorder="1" applyAlignment="1">
      <alignment/>
    </xf>
    <xf numFmtId="3" fontId="41" fillId="0" borderId="35" xfId="0" applyNumberFormat="1" applyFont="1" applyBorder="1" applyAlignment="1">
      <alignment/>
    </xf>
    <xf numFmtId="3" fontId="41" fillId="0" borderId="36" xfId="0" applyNumberFormat="1" applyFont="1" applyBorder="1" applyAlignment="1">
      <alignment/>
    </xf>
    <xf numFmtId="3" fontId="41" fillId="0" borderId="37" xfId="0" applyNumberFormat="1" applyFont="1" applyBorder="1" applyAlignment="1">
      <alignment/>
    </xf>
    <xf numFmtId="3" fontId="41" fillId="0" borderId="38" xfId="0" applyNumberFormat="1" applyFont="1" applyBorder="1" applyAlignment="1">
      <alignment/>
    </xf>
    <xf numFmtId="0" fontId="39" fillId="0" borderId="39" xfId="0" applyFont="1" applyBorder="1" applyAlignment="1">
      <alignment/>
    </xf>
    <xf numFmtId="3" fontId="39" fillId="0" borderId="40" xfId="0" applyNumberFormat="1" applyFont="1" applyBorder="1" applyAlignment="1">
      <alignment/>
    </xf>
    <xf numFmtId="3" fontId="39" fillId="0" borderId="41" xfId="0" applyNumberFormat="1" applyFont="1" applyBorder="1" applyAlignment="1">
      <alignment/>
    </xf>
    <xf numFmtId="3" fontId="39" fillId="0" borderId="42" xfId="0" applyNumberFormat="1" applyFont="1" applyBorder="1" applyAlignment="1">
      <alignment/>
    </xf>
    <xf numFmtId="3" fontId="39" fillId="0" borderId="43" xfId="0" applyNumberFormat="1" applyFont="1" applyBorder="1" applyAlignment="1">
      <alignment/>
    </xf>
    <xf numFmtId="3" fontId="39" fillId="0" borderId="24" xfId="0" applyNumberFormat="1" applyFon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41" fillId="0" borderId="35" xfId="0" applyFont="1" applyBorder="1" applyAlignment="1">
      <alignment/>
    </xf>
    <xf numFmtId="3" fontId="41" fillId="0" borderId="49" xfId="0" applyNumberFormat="1" applyFont="1" applyBorder="1" applyAlignment="1">
      <alignment/>
    </xf>
    <xf numFmtId="3" fontId="39" fillId="0" borderId="30" xfId="0" applyNumberFormat="1" applyFont="1" applyBorder="1" applyAlignment="1">
      <alignment/>
    </xf>
    <xf numFmtId="0" fontId="39" fillId="0" borderId="40" xfId="0" applyFont="1" applyBorder="1" applyAlignment="1">
      <alignment/>
    </xf>
    <xf numFmtId="3" fontId="39" fillId="0" borderId="50" xfId="0" applyNumberFormat="1" applyFont="1" applyBorder="1" applyAlignment="1">
      <alignment/>
    </xf>
    <xf numFmtId="0" fontId="0" fillId="0" borderId="45" xfId="0" applyBorder="1" applyAlignment="1">
      <alignment/>
    </xf>
    <xf numFmtId="3" fontId="0" fillId="0" borderId="51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9" fillId="0" borderId="52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11" xfId="0" applyFont="1" applyBorder="1" applyAlignment="1">
      <alignment/>
    </xf>
    <xf numFmtId="0" fontId="0" fillId="0" borderId="22" xfId="0" applyBorder="1" applyAlignment="1">
      <alignment/>
    </xf>
    <xf numFmtId="3" fontId="0" fillId="0" borderId="16" xfId="0" applyNumberFormat="1" applyBorder="1" applyAlignment="1">
      <alignment/>
    </xf>
    <xf numFmtId="0" fontId="39" fillId="0" borderId="2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53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halley\Documents\Mes%20documents%20(2)\2.Op&#233;rationnel\AFD_AO\2.%20Missions%20LT\2011_2015_Niger_Nariindu\Documents\Compte%20d'exploitation%202013%20cc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mdallaye"/>
      <sheetName val="Ballitari"/>
      <sheetName val="Feuil3"/>
    </sheetNames>
    <sheetDataSet>
      <sheetData sheetId="0">
        <row r="18">
          <cell r="F18">
            <v>52597285</v>
          </cell>
          <cell r="J18">
            <v>25130000</v>
          </cell>
        </row>
        <row r="25">
          <cell r="O25">
            <v>611380</v>
          </cell>
        </row>
        <row r="26">
          <cell r="O26">
            <v>131100</v>
          </cell>
        </row>
        <row r="27">
          <cell r="O27">
            <v>88000</v>
          </cell>
        </row>
        <row r="28">
          <cell r="O28">
            <v>2371150</v>
          </cell>
        </row>
        <row r="29">
          <cell r="O29">
            <v>550000</v>
          </cell>
        </row>
        <row r="31">
          <cell r="O31">
            <v>1762750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16.57421875" style="0" customWidth="1"/>
  </cols>
  <sheetData>
    <row r="1" ht="14.25">
      <c r="A1" s="1" t="s">
        <v>0</v>
      </c>
    </row>
    <row r="3" ht="14.25">
      <c r="A3" s="1" t="s">
        <v>2</v>
      </c>
    </row>
    <row r="4" ht="15" thickBot="1">
      <c r="A4" s="1"/>
    </row>
    <row r="5" spans="1:5" ht="14.25">
      <c r="A5" s="2"/>
      <c r="B5" s="85">
        <v>2014</v>
      </c>
      <c r="C5" s="86"/>
      <c r="D5" s="3">
        <v>2015</v>
      </c>
      <c r="E5" s="4">
        <v>2016</v>
      </c>
    </row>
    <row r="6" spans="1:5" ht="14.25">
      <c r="A6" s="6"/>
      <c r="B6" s="7" t="s">
        <v>3</v>
      </c>
      <c r="C6" s="8" t="s">
        <v>4</v>
      </c>
      <c r="D6" s="9" t="s">
        <v>5</v>
      </c>
      <c r="E6" s="10" t="s">
        <v>6</v>
      </c>
    </row>
    <row r="7" spans="1:5" ht="14.25">
      <c r="A7" s="15" t="s">
        <v>8</v>
      </c>
      <c r="B7" s="16">
        <f>600*30*12</f>
        <v>216000</v>
      </c>
      <c r="C7" s="17">
        <f>800*30*12</f>
        <v>288000</v>
      </c>
      <c r="D7" s="18">
        <f>900*30*12</f>
        <v>324000</v>
      </c>
      <c r="E7" s="19">
        <f>1000*30*12</f>
        <v>360000</v>
      </c>
    </row>
    <row r="8" spans="1:5" ht="14.25">
      <c r="A8" s="15" t="s">
        <v>9</v>
      </c>
      <c r="B8" s="16">
        <f>B7-B9</f>
        <v>205200</v>
      </c>
      <c r="C8" s="17">
        <f>C7-C9</f>
        <v>277200</v>
      </c>
      <c r="D8" s="18">
        <f>D7-D9</f>
        <v>313200</v>
      </c>
      <c r="E8" s="19">
        <f>E7-E9</f>
        <v>349200</v>
      </c>
    </row>
    <row r="9" spans="1:5" ht="15" thickBot="1">
      <c r="A9" s="22" t="s">
        <v>10</v>
      </c>
      <c r="B9" s="23">
        <f>30*30*12</f>
        <v>10800</v>
      </c>
      <c r="C9" s="24">
        <f>30*30*12</f>
        <v>10800</v>
      </c>
      <c r="D9" s="25">
        <f>30*30*12</f>
        <v>10800</v>
      </c>
      <c r="E9" s="26">
        <f>30*30*12</f>
        <v>10800</v>
      </c>
    </row>
    <row r="10" spans="1:5" ht="15" thickBot="1">
      <c r="A10" s="29"/>
      <c r="B10" s="29"/>
      <c r="C10" s="29"/>
      <c r="D10" s="29"/>
      <c r="E10" s="29"/>
    </row>
    <row r="11" spans="1:5" ht="14.25">
      <c r="A11" s="5" t="s">
        <v>15</v>
      </c>
      <c r="B11" s="32"/>
      <c r="C11" s="33"/>
      <c r="D11" s="34"/>
      <c r="E11" s="35"/>
    </row>
    <row r="12" spans="1:5" ht="14.25">
      <c r="A12" s="39" t="s">
        <v>12</v>
      </c>
      <c r="B12" s="16">
        <f>(B8)*300</f>
        <v>61560000</v>
      </c>
      <c r="C12" s="17">
        <f>C8*300</f>
        <v>83160000</v>
      </c>
      <c r="D12" s="18">
        <f>D8*300</f>
        <v>93960000</v>
      </c>
      <c r="E12" s="19">
        <f>E8*300</f>
        <v>104760000</v>
      </c>
    </row>
    <row r="13" spans="1:5" ht="14.25">
      <c r="A13" s="39" t="s">
        <v>13</v>
      </c>
      <c r="B13" s="16">
        <f>(B9)*450</f>
        <v>4860000</v>
      </c>
      <c r="C13" s="17">
        <f>C9*450</f>
        <v>4860000</v>
      </c>
      <c r="D13" s="18">
        <f>D9*450</f>
        <v>4860000</v>
      </c>
      <c r="E13" s="19">
        <f>E9*450</f>
        <v>4860000</v>
      </c>
    </row>
    <row r="14" spans="1:5" ht="14.25">
      <c r="A14" s="46" t="s">
        <v>31</v>
      </c>
      <c r="B14" s="42">
        <f>SUM(B12:B13)</f>
        <v>66420000</v>
      </c>
      <c r="C14" s="43">
        <f>SUM(C12:C13)</f>
        <v>88020000</v>
      </c>
      <c r="D14" s="44">
        <f>SUM(D12:D13)</f>
        <v>98820000</v>
      </c>
      <c r="E14" s="45">
        <f>SUM(E12:E13)</f>
        <v>109620000</v>
      </c>
    </row>
    <row r="15" spans="1:5" ht="14.25">
      <c r="A15" s="20" t="s">
        <v>11</v>
      </c>
      <c r="B15" s="16"/>
      <c r="C15" s="17"/>
      <c r="D15" s="18"/>
      <c r="E15" s="19"/>
    </row>
    <row r="16" spans="1:5" ht="14.25">
      <c r="A16" s="36" t="s">
        <v>16</v>
      </c>
      <c r="B16" s="16">
        <f>B7*275</f>
        <v>59400000</v>
      </c>
      <c r="C16" s="17">
        <f>C7*275</f>
        <v>79200000</v>
      </c>
      <c r="D16" s="18">
        <f>D7*275</f>
        <v>89100000</v>
      </c>
      <c r="E16" s="19">
        <f>E7*275</f>
        <v>99000000</v>
      </c>
    </row>
    <row r="17" spans="1:5" s="50" customFormat="1" ht="16.5" customHeight="1">
      <c r="A17" s="41" t="s">
        <v>17</v>
      </c>
      <c r="B17" s="49">
        <f>50000*12</f>
        <v>600000</v>
      </c>
      <c r="C17" s="43">
        <v>750000</v>
      </c>
      <c r="D17" s="45">
        <v>800000</v>
      </c>
      <c r="E17" s="45">
        <v>900000</v>
      </c>
    </row>
    <row r="18" spans="1:5" s="50" customFormat="1" ht="14.25">
      <c r="A18" s="41" t="s">
        <v>18</v>
      </c>
      <c r="B18" s="49">
        <f>20000*12</f>
        <v>240000</v>
      </c>
      <c r="C18" s="43">
        <v>260000</v>
      </c>
      <c r="D18" s="44">
        <v>270000</v>
      </c>
      <c r="E18" s="45">
        <v>300000</v>
      </c>
    </row>
    <row r="19" spans="1:5" s="50" customFormat="1" ht="14.25">
      <c r="A19" s="41" t="s">
        <v>19</v>
      </c>
      <c r="B19" s="49">
        <f>10000*12</f>
        <v>120000</v>
      </c>
      <c r="C19" s="43">
        <v>140000</v>
      </c>
      <c r="D19" s="44">
        <v>160000</v>
      </c>
      <c r="E19" s="45">
        <v>180000</v>
      </c>
    </row>
    <row r="20" spans="1:5" s="50" customFormat="1" ht="14.25">
      <c r="A20" s="41" t="s">
        <v>20</v>
      </c>
      <c r="B20" s="49">
        <f>60000*12</f>
        <v>720000</v>
      </c>
      <c r="C20" s="43">
        <v>720000</v>
      </c>
      <c r="D20" s="44">
        <v>720000</v>
      </c>
      <c r="E20" s="45">
        <v>750000</v>
      </c>
    </row>
    <row r="21" spans="1:5" s="50" customFormat="1" ht="14.25">
      <c r="A21" s="41" t="s">
        <v>21</v>
      </c>
      <c r="B21" s="49">
        <v>150000</v>
      </c>
      <c r="C21" s="43">
        <v>150000</v>
      </c>
      <c r="D21" s="44">
        <v>150000</v>
      </c>
      <c r="E21" s="45">
        <v>180000</v>
      </c>
    </row>
    <row r="22" spans="1:5" s="50" customFormat="1" ht="14.25">
      <c r="A22" s="41" t="s">
        <v>22</v>
      </c>
      <c r="B22" s="49">
        <f>15000*12</f>
        <v>180000</v>
      </c>
      <c r="C22" s="43">
        <v>180000</v>
      </c>
      <c r="D22" s="44">
        <v>180000</v>
      </c>
      <c r="E22" s="45">
        <v>180000</v>
      </c>
    </row>
    <row r="23" spans="1:5" s="50" customFormat="1" ht="14.25">
      <c r="A23" s="41" t="s">
        <v>23</v>
      </c>
      <c r="B23" s="49">
        <f>5000*12</f>
        <v>60000</v>
      </c>
      <c r="C23" s="43">
        <v>60000</v>
      </c>
      <c r="D23" s="44">
        <v>60000</v>
      </c>
      <c r="E23" s="45">
        <v>60000</v>
      </c>
    </row>
    <row r="24" spans="1:5" s="50" customFormat="1" ht="14.25">
      <c r="A24" s="41" t="s">
        <v>25</v>
      </c>
      <c r="B24" s="49">
        <v>1000000</v>
      </c>
      <c r="C24" s="43">
        <v>1000000</v>
      </c>
      <c r="D24" s="44">
        <v>1000000</v>
      </c>
      <c r="E24" s="45">
        <v>1000000</v>
      </c>
    </row>
    <row r="25" spans="1:5" s="50" customFormat="1" ht="14.25">
      <c r="A25" s="41" t="s">
        <v>27</v>
      </c>
      <c r="B25" s="42">
        <f>30000*12</f>
        <v>360000</v>
      </c>
      <c r="C25" s="43">
        <v>360000</v>
      </c>
      <c r="D25" s="44">
        <v>360000</v>
      </c>
      <c r="E25" s="45">
        <v>360000</v>
      </c>
    </row>
    <row r="26" spans="1:5" ht="14.25">
      <c r="A26" s="37" t="s">
        <v>24</v>
      </c>
      <c r="B26" s="16">
        <f>SUM(B17:B25)</f>
        <v>3430000</v>
      </c>
      <c r="C26" s="17">
        <f>SUM(C17:C25)</f>
        <v>3620000</v>
      </c>
      <c r="D26" s="17">
        <f>SUM(D17:D25)</f>
        <v>3700000</v>
      </c>
      <c r="E26" s="19">
        <f>SUM(E17:E25)</f>
        <v>3910000</v>
      </c>
    </row>
    <row r="27" spans="1:5" ht="14.25">
      <c r="A27" s="36" t="s">
        <v>26</v>
      </c>
      <c r="B27" s="16">
        <f>165000*12</f>
        <v>1980000</v>
      </c>
      <c r="C27" s="17">
        <f>165000*12</f>
        <v>1980000</v>
      </c>
      <c r="D27" s="18">
        <v>1980000</v>
      </c>
      <c r="E27" s="19">
        <v>2090000</v>
      </c>
    </row>
    <row r="28" spans="1:5" ht="15" thickBot="1">
      <c r="A28" s="68" t="s">
        <v>14</v>
      </c>
      <c r="B28" s="54">
        <f>B27+B26</f>
        <v>5410000</v>
      </c>
      <c r="C28" s="56">
        <f>C27+C26</f>
        <v>5600000</v>
      </c>
      <c r="D28" s="56">
        <f>D27+D26</f>
        <v>5680000</v>
      </c>
      <c r="E28" s="69">
        <f>E26+E27</f>
        <v>6000000</v>
      </c>
    </row>
    <row r="29" spans="1:5" ht="15" thickBot="1">
      <c r="A29" s="71" t="s">
        <v>28</v>
      </c>
      <c r="B29" s="59">
        <f>B14-B16-B28</f>
        <v>1610000</v>
      </c>
      <c r="C29" s="61">
        <f>C14-C16-C28</f>
        <v>3220000</v>
      </c>
      <c r="D29" s="58">
        <f>D14-D16-D28</f>
        <v>4040000</v>
      </c>
      <c r="E29" s="72">
        <f>E14-E16-E28</f>
        <v>4620000</v>
      </c>
    </row>
    <row r="30" spans="1:5" ht="15" thickBot="1">
      <c r="A30" s="73" t="s">
        <v>29</v>
      </c>
      <c r="B30" s="65">
        <v>3381429</v>
      </c>
      <c r="C30" s="67">
        <v>3381429</v>
      </c>
      <c r="D30" s="64">
        <v>3381429</v>
      </c>
      <c r="E30" s="74">
        <v>3381429</v>
      </c>
    </row>
    <row r="31" spans="1:5" ht="15" thickBot="1">
      <c r="A31" s="71" t="s">
        <v>30</v>
      </c>
      <c r="B31" s="59">
        <f>B29-B30</f>
        <v>-1771429</v>
      </c>
      <c r="C31" s="61">
        <f>C29-C30</f>
        <v>-161429</v>
      </c>
      <c r="D31" s="61">
        <f>D29-D30</f>
        <v>658571</v>
      </c>
      <c r="E31" s="72">
        <f>E29-E30</f>
        <v>1238571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6">
      <selection activeCell="B5" sqref="B5:G29"/>
    </sheetView>
  </sheetViews>
  <sheetFormatPr defaultColWidth="11.421875" defaultRowHeight="15"/>
  <cols>
    <col min="1" max="1" width="5.7109375" style="0" customWidth="1"/>
    <col min="2" max="2" width="27.28125" style="0" customWidth="1"/>
    <col min="4" max="4" width="11.421875" style="0" customWidth="1"/>
    <col min="6" max="6" width="14.28125" style="0" customWidth="1"/>
    <col min="8" max="8" width="6.28125" style="0" customWidth="1"/>
    <col min="10" max="10" width="12.57421875" style="0" bestFit="1" customWidth="1"/>
  </cols>
  <sheetData>
    <row r="1" ht="14.25">
      <c r="B1" s="1" t="s">
        <v>1</v>
      </c>
    </row>
    <row r="3" ht="14.25">
      <c r="B3" s="1" t="s">
        <v>2</v>
      </c>
    </row>
    <row r="4" ht="15" thickBot="1">
      <c r="B4" s="1"/>
    </row>
    <row r="5" spans="2:7" ht="14.25">
      <c r="B5" s="5"/>
      <c r="C5" s="3">
        <v>2013</v>
      </c>
      <c r="D5" s="85">
        <v>2014</v>
      </c>
      <c r="E5" s="87"/>
      <c r="F5" s="87"/>
      <c r="G5" s="86"/>
    </row>
    <row r="6" spans="2:9" ht="86.25">
      <c r="B6" s="11"/>
      <c r="C6" s="12" t="s">
        <v>7</v>
      </c>
      <c r="D6" s="13" t="s">
        <v>39</v>
      </c>
      <c r="E6" s="14" t="s">
        <v>40</v>
      </c>
      <c r="F6" s="79" t="s">
        <v>41</v>
      </c>
      <c r="G6" s="84" t="s">
        <v>42</v>
      </c>
      <c r="I6" s="80" t="s">
        <v>33</v>
      </c>
    </row>
    <row r="7" spans="2:9" ht="14.25">
      <c r="B7" s="20" t="s">
        <v>8</v>
      </c>
      <c r="C7" s="18">
        <v>167649</v>
      </c>
      <c r="D7" s="16">
        <f>600*30*12</f>
        <v>216000</v>
      </c>
      <c r="E7" s="21">
        <f>1000*30*12</f>
        <v>360000</v>
      </c>
      <c r="F7" s="21">
        <f>1000*30*12</f>
        <v>360000</v>
      </c>
      <c r="G7" s="19">
        <f>1000*30*12</f>
        <v>360000</v>
      </c>
      <c r="I7" s="21">
        <f>1223*30*12</f>
        <v>440280</v>
      </c>
    </row>
    <row r="8" spans="2:9" ht="14.25">
      <c r="B8" s="20" t="s">
        <v>9</v>
      </c>
      <c r="C8" s="18">
        <f>C7-C9</f>
        <v>79182</v>
      </c>
      <c r="D8" s="16">
        <f>D7-D9</f>
        <v>72000</v>
      </c>
      <c r="E8" s="21">
        <f>E7-E9</f>
        <v>216000</v>
      </c>
      <c r="F8" s="21">
        <f>F7-F9</f>
        <v>216000</v>
      </c>
      <c r="G8" s="19">
        <f>G7-G9</f>
        <v>306000</v>
      </c>
      <c r="I8" s="21">
        <f>I7-I9</f>
        <v>296280</v>
      </c>
    </row>
    <row r="9" spans="2:9" ht="15" thickBot="1">
      <c r="B9" s="27" t="s">
        <v>10</v>
      </c>
      <c r="C9" s="25">
        <v>88467</v>
      </c>
      <c r="D9" s="23">
        <f>400*30*12</f>
        <v>144000</v>
      </c>
      <c r="E9" s="28">
        <f>400*30*12</f>
        <v>144000</v>
      </c>
      <c r="F9" s="28">
        <f>400*30*12</f>
        <v>144000</v>
      </c>
      <c r="G9" s="26">
        <f>150*30*12</f>
        <v>54000</v>
      </c>
      <c r="I9" s="28">
        <f>D9</f>
        <v>144000</v>
      </c>
    </row>
    <row r="10" spans="2:9" ht="14.25">
      <c r="B10" s="5"/>
      <c r="C10" s="2"/>
      <c r="D10" s="30"/>
      <c r="E10" s="31"/>
      <c r="F10" s="31"/>
      <c r="G10" s="81"/>
      <c r="I10" s="31"/>
    </row>
    <row r="11" spans="2:9" ht="14.25">
      <c r="B11" s="20" t="s">
        <v>15</v>
      </c>
      <c r="C11" s="36"/>
      <c r="D11" s="37"/>
      <c r="E11" s="38"/>
      <c r="F11" s="38"/>
      <c r="G11" s="82"/>
      <c r="I11" s="38"/>
    </row>
    <row r="12" spans="2:10" ht="14.25">
      <c r="B12" s="39" t="s">
        <v>12</v>
      </c>
      <c r="C12" s="18">
        <f>'[1]Hamdallaye'!$J$18</f>
        <v>25130000</v>
      </c>
      <c r="D12" s="16">
        <f>D8*300</f>
        <v>21600000</v>
      </c>
      <c r="E12" s="21">
        <f>E8*300</f>
        <v>64800000</v>
      </c>
      <c r="F12" s="21">
        <f>F8*300</f>
        <v>64800000</v>
      </c>
      <c r="G12" s="19">
        <f>G8*300</f>
        <v>91800000</v>
      </c>
      <c r="H12" s="40"/>
      <c r="I12" s="21">
        <f>I8*300</f>
        <v>88884000</v>
      </c>
      <c r="J12" s="40"/>
    </row>
    <row r="13" spans="2:10" ht="14.25">
      <c r="B13" s="39" t="s">
        <v>13</v>
      </c>
      <c r="C13" s="18">
        <f>C9*440</f>
        <v>38925480</v>
      </c>
      <c r="D13" s="16">
        <f>D9*450</f>
        <v>64800000</v>
      </c>
      <c r="E13" s="21">
        <f>E9*450</f>
        <v>64800000</v>
      </c>
      <c r="F13" s="21">
        <f>F9*450</f>
        <v>64800000</v>
      </c>
      <c r="G13" s="19">
        <f>G9*450</f>
        <v>24300000</v>
      </c>
      <c r="H13" s="40"/>
      <c r="I13" s="21">
        <f>I9*450</f>
        <v>64800000</v>
      </c>
      <c r="J13" s="40"/>
    </row>
    <row r="14" spans="2:10" ht="14.25">
      <c r="B14" s="46" t="s">
        <v>31</v>
      </c>
      <c r="C14" s="44">
        <f>SUM(C12:C13)</f>
        <v>64055480</v>
      </c>
      <c r="D14" s="42">
        <f>SUM(D12:D13)</f>
        <v>86400000</v>
      </c>
      <c r="E14" s="47">
        <f>SUM(E12:E13)</f>
        <v>129600000</v>
      </c>
      <c r="F14" s="47">
        <f>SUM(F12:F13)</f>
        <v>129600000</v>
      </c>
      <c r="G14" s="45">
        <f>SUM(G12:G13)</f>
        <v>116100000</v>
      </c>
      <c r="H14" s="48"/>
      <c r="I14" s="47">
        <f>I12+I13</f>
        <v>153684000</v>
      </c>
      <c r="J14" s="48"/>
    </row>
    <row r="15" spans="2:10" ht="14.25">
      <c r="B15" s="20" t="s">
        <v>11</v>
      </c>
      <c r="C15" s="18"/>
      <c r="D15" s="16"/>
      <c r="E15" s="21"/>
      <c r="F15" s="21"/>
      <c r="G15" s="19"/>
      <c r="I15" s="21"/>
      <c r="J15" s="48"/>
    </row>
    <row r="16" spans="2:10" ht="14.25">
      <c r="B16" s="39" t="s">
        <v>16</v>
      </c>
      <c r="C16" s="18">
        <f>'[1]Hamdallaye'!$F$18</f>
        <v>52597285</v>
      </c>
      <c r="D16" s="16">
        <f>D7*300</f>
        <v>64800000</v>
      </c>
      <c r="E16" s="21">
        <f>E7*300</f>
        <v>108000000</v>
      </c>
      <c r="F16" s="21">
        <f>F7*275</f>
        <v>99000000</v>
      </c>
      <c r="G16" s="19">
        <f>G7*275</f>
        <v>99000000</v>
      </c>
      <c r="I16" s="21">
        <f>I7*300</f>
        <v>132084000</v>
      </c>
      <c r="J16" s="48"/>
    </row>
    <row r="17" spans="2:10" s="50" customFormat="1" ht="16.5" customHeight="1">
      <c r="B17" s="46" t="s">
        <v>17</v>
      </c>
      <c r="C17" s="44">
        <f>'[1]Hamdallaye'!$O$25</f>
        <v>611380</v>
      </c>
      <c r="D17" s="42">
        <f>(C17*$D$7)/$C$7</f>
        <v>787705.7423545622</v>
      </c>
      <c r="E17" s="47">
        <f>(C17*$E$7)/$C$7</f>
        <v>1312842.9039242703</v>
      </c>
      <c r="F17" s="47">
        <f>(C17*$F$7)/$C$7</f>
        <v>1312842.9039242703</v>
      </c>
      <c r="G17" s="45">
        <f>F17</f>
        <v>1312842.9039242703</v>
      </c>
      <c r="H17" s="51"/>
      <c r="I17" s="47">
        <f>(D17*I7)/D7</f>
        <v>1605606.8714993827</v>
      </c>
      <c r="J17" s="48"/>
    </row>
    <row r="18" spans="2:10" s="50" customFormat="1" ht="14.25">
      <c r="B18" s="46" t="s">
        <v>18</v>
      </c>
      <c r="C18" s="44">
        <f>'[1]Hamdallaye'!$O$26</f>
        <v>131100</v>
      </c>
      <c r="D18" s="42">
        <f>(C18*$D$7)/$C$7</f>
        <v>168910.0441994882</v>
      </c>
      <c r="E18" s="47">
        <f>(C18*$E$7)/$C$7</f>
        <v>281516.74033248035</v>
      </c>
      <c r="F18" s="47">
        <f>(C18*$F$7)/$C$7</f>
        <v>281516.74033248035</v>
      </c>
      <c r="G18" s="45">
        <f>F18</f>
        <v>281516.74033248035</v>
      </c>
      <c r="I18" s="47">
        <f>(D18*I7)/D7</f>
        <v>344294.97342662344</v>
      </c>
      <c r="J18" s="48"/>
    </row>
    <row r="19" spans="2:10" s="50" customFormat="1" ht="14.25">
      <c r="B19" s="46" t="s">
        <v>19</v>
      </c>
      <c r="C19" s="44">
        <f>'[1]Hamdallaye'!$O$27</f>
        <v>88000</v>
      </c>
      <c r="D19" s="42">
        <f>(C19*$D$7)/$C$7</f>
        <v>113379.739813539</v>
      </c>
      <c r="E19" s="47">
        <f>(C19*$E$7)/$C$7</f>
        <v>188966.233022565</v>
      </c>
      <c r="F19" s="47">
        <f>(C19*$F$7)/$C$7</f>
        <v>188966.233022565</v>
      </c>
      <c r="G19" s="45">
        <f>F19</f>
        <v>188966.233022565</v>
      </c>
      <c r="I19" s="47">
        <f>(D19*I7)/D7</f>
        <v>231105.702986597</v>
      </c>
      <c r="J19" s="48"/>
    </row>
    <row r="20" spans="2:10" s="50" customFormat="1" ht="14.25">
      <c r="B20" s="46" t="s">
        <v>20</v>
      </c>
      <c r="C20" s="44">
        <f>'[1]Hamdallaye'!$O$28</f>
        <v>2371150</v>
      </c>
      <c r="D20" s="42">
        <f>(C20*$D$7)/$C$7</f>
        <v>3055004.205214466</v>
      </c>
      <c r="E20" s="47">
        <v>3200000</v>
      </c>
      <c r="F20" s="47">
        <v>3200000</v>
      </c>
      <c r="G20" s="45">
        <f>750000</f>
        <v>750000</v>
      </c>
      <c r="H20" s="51"/>
      <c r="I20" s="47">
        <v>3200000</v>
      </c>
      <c r="J20" s="48"/>
    </row>
    <row r="21" spans="2:10" s="50" customFormat="1" ht="14.25">
      <c r="B21" s="46" t="s">
        <v>21</v>
      </c>
      <c r="C21" s="44">
        <f>'[1]Hamdallaye'!$O$29</f>
        <v>550000</v>
      </c>
      <c r="D21" s="42">
        <f>(C21*$D$7)/$C$7</f>
        <v>708623.3738346187</v>
      </c>
      <c r="E21" s="47">
        <f>(C21*$E$7)/$C$7</f>
        <v>1181038.9563910312</v>
      </c>
      <c r="F21" s="47">
        <f>(C21*$F$7)/$C$7</f>
        <v>1181038.9563910312</v>
      </c>
      <c r="G21" s="45">
        <f>F21</f>
        <v>1181038.9563910312</v>
      </c>
      <c r="I21" s="47">
        <f>(D21*I7)/D7</f>
        <v>1444410.6436662313</v>
      </c>
      <c r="J21"/>
    </row>
    <row r="22" spans="2:10" s="50" customFormat="1" ht="14.25">
      <c r="B22" s="46" t="s">
        <v>22</v>
      </c>
      <c r="C22" s="44">
        <f>'[1]Hamdallaye'!$O$31</f>
        <v>1762750</v>
      </c>
      <c r="D22" s="42">
        <f>(C22*D9)/C9</f>
        <v>2869273.2883448065</v>
      </c>
      <c r="E22" s="47">
        <f>(C22*$E$9)/$C$9</f>
        <v>2869273.2883448065</v>
      </c>
      <c r="F22" s="47">
        <f>(C22*$F$9)/$C$9</f>
        <v>2869273.2883448065</v>
      </c>
      <c r="G22" s="45">
        <f>180000*2</f>
        <v>360000</v>
      </c>
      <c r="H22" s="51"/>
      <c r="I22" s="47">
        <f>D22</f>
        <v>2869273.2883448065</v>
      </c>
      <c r="J22" s="51"/>
    </row>
    <row r="23" spans="2:9" s="50" customFormat="1" ht="14.25">
      <c r="B23" s="39" t="s">
        <v>24</v>
      </c>
      <c r="C23" s="18">
        <v>5514380</v>
      </c>
      <c r="D23" s="16">
        <f>SUM(D17:D22)</f>
        <v>7702896.39376148</v>
      </c>
      <c r="E23" s="21">
        <f>SUM(E17:E22)</f>
        <v>9033638.122015152</v>
      </c>
      <c r="F23" s="21">
        <f>SUM(F17:F22)</f>
        <v>9033638.122015152</v>
      </c>
      <c r="G23" s="19">
        <f>SUM(G17:G22)</f>
        <v>4074364.833670347</v>
      </c>
      <c r="I23" s="21">
        <f>SUM(I17:I22)</f>
        <v>9694691.479923641</v>
      </c>
    </row>
    <row r="24" spans="2:9" s="50" customFormat="1" ht="14.25">
      <c r="B24" s="39" t="s">
        <v>26</v>
      </c>
      <c r="C24" s="18">
        <v>3102840</v>
      </c>
      <c r="D24" s="16">
        <v>3102840</v>
      </c>
      <c r="E24" s="21">
        <v>3102840</v>
      </c>
      <c r="F24" s="21">
        <v>3102840</v>
      </c>
      <c r="G24" s="19">
        <v>3102840</v>
      </c>
      <c r="I24" s="21">
        <v>3102840</v>
      </c>
    </row>
    <row r="25" spans="2:9" s="50" customFormat="1" ht="15" thickBot="1">
      <c r="B25" s="52" t="s">
        <v>14</v>
      </c>
      <c r="C25" s="53">
        <f>C23+C24</f>
        <v>8617220</v>
      </c>
      <c r="D25" s="54">
        <f>D23+D24</f>
        <v>10805736.39376148</v>
      </c>
      <c r="E25" s="55">
        <f>E23+E24</f>
        <v>12136478.122015152</v>
      </c>
      <c r="F25" s="55">
        <f>F23+F24</f>
        <v>12136478.122015152</v>
      </c>
      <c r="G25" s="69">
        <f>G23+G24</f>
        <v>7177204.833670347</v>
      </c>
      <c r="I25" s="47">
        <f>I23+I24</f>
        <v>12797531.479923641</v>
      </c>
    </row>
    <row r="26" spans="2:10" ht="15" thickBot="1">
      <c r="B26" s="57" t="s">
        <v>28</v>
      </c>
      <c r="C26" s="58">
        <f>C14-C25-C16</f>
        <v>2840975</v>
      </c>
      <c r="D26" s="59">
        <f>D14-D16-D25</f>
        <v>10794263.60623852</v>
      </c>
      <c r="E26" s="60">
        <f>E14-E16-E25</f>
        <v>9463521.877984848</v>
      </c>
      <c r="F26" s="60">
        <f>F14-F16-F25</f>
        <v>18463521.877984848</v>
      </c>
      <c r="G26" s="72">
        <f>G14-G16-G25</f>
        <v>9922795.166329652</v>
      </c>
      <c r="I26" s="62">
        <f>I14-I16-I25</f>
        <v>8802468.520076359</v>
      </c>
      <c r="J26" s="50"/>
    </row>
    <row r="27" spans="2:10" ht="14.25">
      <c r="B27" s="76" t="s">
        <v>43</v>
      </c>
      <c r="C27" s="77"/>
      <c r="D27" s="78"/>
      <c r="E27" s="75"/>
      <c r="F27" s="75"/>
      <c r="G27" s="83"/>
      <c r="I27" s="21"/>
      <c r="J27" s="50"/>
    </row>
    <row r="28" spans="2:10" ht="15" thickBot="1">
      <c r="B28" s="63" t="s">
        <v>32</v>
      </c>
      <c r="C28" s="64"/>
      <c r="D28" s="65">
        <f>20*D7</f>
        <v>4320000</v>
      </c>
      <c r="E28" s="66">
        <f>E7*20</f>
        <v>7200000</v>
      </c>
      <c r="F28" s="66">
        <f>F7*20</f>
        <v>7200000</v>
      </c>
      <c r="G28" s="74">
        <f>G7*20</f>
        <v>7200000</v>
      </c>
      <c r="I28" s="66">
        <f>I7*20</f>
        <v>8805600</v>
      </c>
      <c r="J28" s="50"/>
    </row>
    <row r="29" spans="2:10" ht="15" thickBot="1">
      <c r="B29" s="57" t="s">
        <v>30</v>
      </c>
      <c r="C29" s="58">
        <f>C26-C27</f>
        <v>2840975</v>
      </c>
      <c r="D29" s="59">
        <f>D26-D28</f>
        <v>6474263.60623852</v>
      </c>
      <c r="E29" s="60">
        <f>E26-E28</f>
        <v>2263521.877984848</v>
      </c>
      <c r="F29" s="60">
        <f>F26-F28</f>
        <v>11263521.877984848</v>
      </c>
      <c r="G29" s="72">
        <f>G26-G28</f>
        <v>2722795.166329652</v>
      </c>
      <c r="I29" s="70">
        <f>I26-I28</f>
        <v>-3131.479923641309</v>
      </c>
      <c r="J29" s="50"/>
    </row>
    <row r="30" ht="14.25">
      <c r="J30" s="50"/>
    </row>
  </sheetData>
  <sheetProtection/>
  <mergeCells count="1">
    <mergeCell ref="D5:G5"/>
  </mergeCells>
  <printOptions/>
  <pageMargins left="0.7" right="0.7" top="0.75" bottom="0.75" header="0.3" footer="0.3"/>
  <pageSetup orientation="portrait" paperSize="9" r:id="rId1"/>
  <ignoredErrors>
    <ignoredError sqref="F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F16" sqref="F16"/>
    </sheetView>
  </sheetViews>
  <sheetFormatPr defaultColWidth="11.421875" defaultRowHeight="15"/>
  <sheetData>
    <row r="3" spans="1:4" ht="14.25">
      <c r="A3" s="38" t="s">
        <v>34</v>
      </c>
      <c r="B3" s="38"/>
      <c r="C3" s="38"/>
      <c r="D3" s="38"/>
    </row>
    <row r="4" spans="1:4" ht="14.25">
      <c r="A4" s="38" t="s">
        <v>35</v>
      </c>
      <c r="B4" s="21">
        <v>49000000</v>
      </c>
      <c r="C4" s="21">
        <v>35</v>
      </c>
      <c r="D4" s="21">
        <f>B4/C4</f>
        <v>1400000</v>
      </c>
    </row>
    <row r="5" spans="1:4" ht="14.25">
      <c r="A5" s="38" t="s">
        <v>36</v>
      </c>
      <c r="B5" s="21">
        <v>14350000</v>
      </c>
      <c r="C5" s="21">
        <v>35</v>
      </c>
      <c r="D5" s="21">
        <f>B5/C5</f>
        <v>410000</v>
      </c>
    </row>
    <row r="6" spans="1:4" ht="14.25">
      <c r="A6" s="38" t="s">
        <v>37</v>
      </c>
      <c r="B6" s="21">
        <v>11000000</v>
      </c>
      <c r="C6" s="21">
        <v>7</v>
      </c>
      <c r="D6" s="21">
        <f>B6/C6</f>
        <v>1571428.5714285714</v>
      </c>
    </row>
    <row r="7" spans="1:4" ht="14.25">
      <c r="A7" s="38"/>
      <c r="B7" s="21"/>
      <c r="C7" s="21"/>
      <c r="D7" s="62">
        <f>SUM(D4:D6)</f>
        <v>3381428.5714285714</v>
      </c>
    </row>
    <row r="8" spans="2:4" ht="14.25">
      <c r="B8" s="40"/>
      <c r="C8" s="40"/>
      <c r="D8" s="40"/>
    </row>
    <row r="9" spans="2:4" ht="14.25">
      <c r="B9" s="40"/>
      <c r="C9" s="40"/>
      <c r="D9" s="40"/>
    </row>
    <row r="10" spans="1:4" ht="14.25">
      <c r="A10" s="38" t="s">
        <v>38</v>
      </c>
      <c r="B10" s="21"/>
      <c r="C10" s="21"/>
      <c r="D10" s="21"/>
    </row>
    <row r="11" spans="1:4" ht="14.25">
      <c r="A11" s="38" t="s">
        <v>35</v>
      </c>
      <c r="B11" s="21">
        <v>40000000</v>
      </c>
      <c r="C11" s="21">
        <v>35</v>
      </c>
      <c r="D11" s="21">
        <f>B11/C11</f>
        <v>1142857.142857143</v>
      </c>
    </row>
    <row r="12" spans="1:4" ht="14.25">
      <c r="A12" s="38" t="s">
        <v>37</v>
      </c>
      <c r="B12" s="21">
        <v>25000000</v>
      </c>
      <c r="C12" s="21">
        <v>10</v>
      </c>
      <c r="D12" s="21">
        <f>B12/C12</f>
        <v>2500000</v>
      </c>
    </row>
    <row r="13" spans="1:4" ht="14.25">
      <c r="A13" s="38"/>
      <c r="B13" s="21"/>
      <c r="C13" s="21"/>
      <c r="D13" s="62">
        <f>D11+D12</f>
        <v>3642857.1428571427</v>
      </c>
    </row>
    <row r="14" spans="2:4" ht="14.25">
      <c r="B14" s="40"/>
      <c r="C14" s="40"/>
      <c r="D14" s="40"/>
    </row>
    <row r="17" ht="14.25">
      <c r="F17" s="4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Halley Desfontaines Damien</dc:creator>
  <cp:keywords/>
  <dc:description/>
  <cp:lastModifiedBy>Renard Olivier</cp:lastModifiedBy>
  <dcterms:created xsi:type="dcterms:W3CDTF">2014-03-09T13:11:20Z</dcterms:created>
  <dcterms:modified xsi:type="dcterms:W3CDTF">2015-01-10T12:27:16Z</dcterms:modified>
  <cp:category/>
  <cp:version/>
  <cp:contentType/>
  <cp:contentStatus/>
</cp:coreProperties>
</file>